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u\Documents\CGT\Site internet\Site INTERNET\doc\"/>
    </mc:Choice>
  </mc:AlternateContent>
  <xr:revisionPtr revIDLastSave="0" documentId="8_{E762A3A5-C4A7-463F-A367-3BF7EFEF10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me" sheetId="1" r:id="rId1"/>
    <sheet name="calcul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5" i="2" l="1"/>
  <c r="B26" i="2"/>
  <c r="B24" i="2"/>
  <c r="B4" i="2"/>
  <c r="B29" i="2"/>
  <c r="B28" i="2"/>
  <c r="B27" i="2"/>
  <c r="B5" i="1"/>
  <c r="B6" i="1"/>
  <c r="B12" i="2"/>
  <c r="B9" i="2"/>
  <c r="B7" i="2" l="1"/>
  <c r="B8" i="2"/>
  <c r="B10" i="2"/>
  <c r="C10" i="2" s="1"/>
  <c r="B30" i="2"/>
  <c r="C28" i="2"/>
  <c r="C27" i="2" s="1"/>
  <c r="E25" i="2"/>
  <c r="E24" i="2" s="1"/>
  <c r="C25" i="2"/>
  <c r="D25" i="2" s="1"/>
  <c r="C24" i="2"/>
  <c r="D24" i="2" s="1"/>
  <c r="C3" i="2"/>
  <c r="C8" i="2" l="1"/>
  <c r="C6" i="2" s="1"/>
  <c r="B11" i="2" s="1"/>
  <c r="B13" i="2" s="1"/>
  <c r="G25" i="2"/>
  <c r="E26" i="2" s="1"/>
  <c r="F26" i="2" s="1"/>
  <c r="C30" i="2" s="1"/>
  <c r="A30" i="2" s="1"/>
  <c r="C7" i="2"/>
  <c r="H11" i="2"/>
  <c r="H12" i="2"/>
  <c r="C8" i="1"/>
  <c r="C7" i="1"/>
  <c r="H12" i="1" s="1"/>
  <c r="C11" i="2" l="1"/>
  <c r="C13" i="2" s="1"/>
  <c r="C14" i="2" s="1"/>
  <c r="A32" i="2"/>
  <c r="B32" i="2" s="1"/>
  <c r="B31" i="2" s="1"/>
  <c r="B14" i="2"/>
  <c r="H11" i="1"/>
  <c r="C28" i="1"/>
  <c r="C27" i="1" s="1"/>
  <c r="B33" i="2" l="1"/>
  <c r="B33" i="1" s="1"/>
  <c r="B31" i="1"/>
  <c r="B17" i="2"/>
  <c r="B17" i="1" s="1"/>
  <c r="C17" i="2"/>
  <c r="E25" i="1"/>
  <c r="B19" i="2" l="1"/>
  <c r="E7" i="2" s="1"/>
  <c r="E6" i="2"/>
  <c r="C25" i="1"/>
  <c r="D25" i="1" s="1"/>
  <c r="C24" i="1"/>
  <c r="D24" i="1" s="1"/>
  <c r="E24" i="1"/>
  <c r="E8" i="2" l="1"/>
  <c r="B19" i="1"/>
  <c r="G25" i="1"/>
  <c r="E26" i="1" s="1"/>
  <c r="F26" i="1" l="1"/>
  <c r="C30" i="1" s="1"/>
  <c r="C10" i="1"/>
  <c r="C6" i="1"/>
  <c r="C3" i="1"/>
  <c r="B11" i="1" l="1"/>
  <c r="B13" i="1" s="1"/>
  <c r="C11" i="1"/>
  <c r="B14" i="1" l="1"/>
  <c r="C13" i="1"/>
  <c r="C14" i="1" s="1"/>
  <c r="B30" i="1"/>
  <c r="A30" i="1" l="1"/>
  <c r="A32" i="1" s="1"/>
  <c r="B32" i="1" s="1"/>
  <c r="E6" i="1" l="1"/>
  <c r="E7" i="1" l="1"/>
  <c r="E8" i="1" s="1"/>
</calcChain>
</file>

<file path=xl/sharedStrings.xml><?xml version="1.0" encoding="utf-8"?>
<sst xmlns="http://schemas.openxmlformats.org/spreadsheetml/2006/main" count="63" uniqueCount="37">
  <si>
    <t>Valeur du point</t>
  </si>
  <si>
    <t>Indice majoré</t>
  </si>
  <si>
    <t>Catégorie C, B ou A</t>
  </si>
  <si>
    <t>Note</t>
  </si>
  <si>
    <t>Abattement</t>
  </si>
  <si>
    <t>Montant prime initiale</t>
  </si>
  <si>
    <t>CGT</t>
  </si>
  <si>
    <t>Date de début CDI</t>
  </si>
  <si>
    <t>Date de stagiarisation ou de fin de contrat</t>
  </si>
  <si>
    <t>Quotité de travail en ETP</t>
  </si>
  <si>
    <t xml:space="preserve">Dates de stagiarisation </t>
  </si>
  <si>
    <t>Jours d'absence</t>
  </si>
  <si>
    <t>Quotité de travail (ETP)</t>
  </si>
  <si>
    <t>STAGIAIRES et TITULAIRES</t>
  </si>
  <si>
    <t>CONTRACTUELS</t>
  </si>
  <si>
    <t>Saisissez vos infos
Dates, Indice, Catégorie,  Note, Tps de travail et absences
dans les cellules grisées et rien dans les autres</t>
  </si>
  <si>
    <t>Date de début  premier CDD</t>
  </si>
  <si>
    <t>Montant prime statut 1er répartition</t>
  </si>
  <si>
    <t>Montant prime initiale contractuel 2ème répartion</t>
  </si>
  <si>
    <t>Montant prime initiale contractuel 1er répartion</t>
  </si>
  <si>
    <t>Montant prime statut 2ème répartition</t>
  </si>
  <si>
    <t>Total Prime :</t>
  </si>
  <si>
    <r>
      <t>Montant 1</t>
    </r>
    <r>
      <rPr>
        <b/>
        <vertAlign val="superscript"/>
        <sz val="14"/>
        <color theme="0"/>
        <rFont val="Calibri"/>
        <family val="2"/>
      </rPr>
      <t>ère</t>
    </r>
    <r>
      <rPr>
        <b/>
        <sz val="14"/>
        <color theme="0"/>
        <rFont val="Calibri"/>
        <family val="2"/>
      </rPr>
      <t xml:space="preserve"> répartition</t>
    </r>
  </si>
  <si>
    <t>Prime de service</t>
  </si>
  <si>
    <r>
      <t>Temps Non Complet (</t>
    </r>
    <r>
      <rPr>
        <b/>
        <sz val="14"/>
        <color rgb="FFC00000"/>
        <rFont val="Calibri"/>
        <family val="2"/>
        <scheme val="minor"/>
      </rPr>
      <t>NC</t>
    </r>
    <r>
      <rPr>
        <sz val="14"/>
        <color theme="1"/>
        <rFont val="Calibri"/>
        <family val="2"/>
        <scheme val="minor"/>
      </rPr>
      <t>) ou Temps partiel (</t>
    </r>
    <r>
      <rPr>
        <b/>
        <sz val="14"/>
        <color rgb="FFC00000"/>
        <rFont val="Calibri"/>
        <family val="2"/>
        <scheme val="minor"/>
      </rPr>
      <t>TP</t>
    </r>
    <r>
      <rPr>
        <sz val="14"/>
        <color theme="1"/>
        <rFont val="Calibri"/>
        <family val="2"/>
        <scheme val="minor"/>
      </rPr>
      <t>)</t>
    </r>
  </si>
  <si>
    <t>Valeur du point 2ème répartition</t>
  </si>
  <si>
    <t>Total 1er repart :</t>
  </si>
  <si>
    <t>Total 2ème répart  :</t>
  </si>
  <si>
    <t>Nbre de jour dans l'année :</t>
  </si>
  <si>
    <t>Valeur du point global :</t>
  </si>
  <si>
    <t>valeur du point  1ere répartition :</t>
  </si>
  <si>
    <t>STAGIAIRE ou TITULAIRE</t>
  </si>
  <si>
    <t>CONTRACTUEL</t>
  </si>
  <si>
    <t>Calculateur CGT prime de service 2025</t>
  </si>
  <si>
    <t>nc</t>
  </si>
  <si>
    <t>A</t>
  </si>
  <si>
    <r>
      <t>Temps Non Complet (</t>
    </r>
    <r>
      <rPr>
        <b/>
        <sz val="14"/>
        <color theme="0"/>
        <rFont val="Calibri"/>
        <family val="2"/>
        <scheme val="minor"/>
      </rPr>
      <t>NC</t>
    </r>
    <r>
      <rPr>
        <sz val="14"/>
        <color theme="0"/>
        <rFont val="Calibri"/>
        <family val="2"/>
        <scheme val="minor"/>
      </rPr>
      <t>) ou Temps partiel (</t>
    </r>
    <r>
      <rPr>
        <b/>
        <sz val="14"/>
        <color theme="0"/>
        <rFont val="Calibri"/>
        <family val="2"/>
        <scheme val="minor"/>
      </rPr>
      <t>TP</t>
    </r>
    <r>
      <rPr>
        <sz val="14"/>
        <color theme="0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</si>
</sst>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#,##0.00\ &quot;€&quot;;\-#,##0.00\ &quot;€&quot;"/>
    <numFmt numFmtId="164" formatCode="_-* #,##0.00\ _€_-;\-* #,##0.00\ _€_-;_-* &quot;-&quot;??\ _€_-;_-@_-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</font>
    <font>
      <i/>
      <sz val="14"/>
      <color theme="1"/>
      <name val="Calibri"/>
      <family val="2"/>
    </font>
    <font>
      <b/>
      <i/>
      <sz val="14"/>
      <color theme="0" tint="-4.9989318521683403E-2"/>
      <name val="Calibri"/>
      <family val="2"/>
    </font>
    <font>
      <sz val="24"/>
      <color theme="1"/>
      <name val="Calibri"/>
      <family val="2"/>
      <scheme val="minor"/>
    </font>
    <font>
      <b/>
      <sz val="14"/>
      <color rgb="FFC00000"/>
      <name val="Calibri"/>
      <family val="2"/>
    </font>
    <font>
      <b/>
      <i/>
      <sz val="14"/>
      <color rgb="FFC00000"/>
      <name val="Calibri"/>
      <family val="2"/>
    </font>
    <font>
      <b/>
      <sz val="14"/>
      <color theme="0"/>
      <name val="Calibri"/>
      <family val="2"/>
    </font>
    <font>
      <b/>
      <sz val="16"/>
      <color theme="1"/>
      <name val="Calibri"/>
      <family val="2"/>
      <scheme val="minor"/>
    </font>
    <font>
      <b/>
      <i/>
      <sz val="14"/>
      <color theme="0"/>
      <name val="Calibri"/>
      <family val="2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8"/>
      <color rgb="FFFFFF0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FF00"/>
      <name val="Calibri"/>
      <family val="2"/>
      <scheme val="minor"/>
    </font>
    <font>
      <b/>
      <sz val="72"/>
      <color theme="0"/>
      <name val="Calibri"/>
      <family val="2"/>
      <scheme val="minor"/>
    </font>
    <font>
      <b/>
      <vertAlign val="superscript"/>
      <sz val="14"/>
      <color theme="0"/>
      <name val="Calibri"/>
      <family val="2"/>
    </font>
    <font>
      <i/>
      <sz val="14"/>
      <color theme="0"/>
      <name val="Calibri"/>
      <family val="2"/>
    </font>
    <font>
      <b/>
      <sz val="22"/>
      <color rgb="FFFFFF00"/>
      <name val="Calibri"/>
      <family val="2"/>
      <scheme val="minor"/>
    </font>
    <font>
      <sz val="22"/>
      <color rgb="FFFFFF00"/>
      <name val="Calibri"/>
      <family val="2"/>
      <scheme val="minor"/>
    </font>
    <font>
      <b/>
      <sz val="7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4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i/>
      <sz val="10"/>
      <color theme="0"/>
      <name val="Calibri"/>
      <family val="2"/>
    </font>
    <font>
      <sz val="11"/>
      <color theme="9" tint="-0.499984740745262"/>
      <name val="Calibri"/>
      <family val="2"/>
    </font>
    <font>
      <b/>
      <i/>
      <sz val="11"/>
      <color theme="9" tint="-0.499984740745262"/>
      <name val="Calibri"/>
      <family val="2"/>
    </font>
    <font>
      <sz val="24"/>
      <color theme="0"/>
      <name val="Calibri"/>
      <family val="2"/>
      <scheme val="minor"/>
    </font>
    <font>
      <sz val="14"/>
      <color theme="0"/>
      <name val="Calibri"/>
      <family val="2"/>
    </font>
    <font>
      <b/>
      <sz val="22"/>
      <color theme="0"/>
      <name val="Calibri"/>
      <family val="2"/>
      <scheme val="minor"/>
    </font>
    <font>
      <sz val="2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A7E8FF"/>
        <bgColor indexed="64"/>
      </patternFill>
    </fill>
    <fill>
      <patternFill patternType="solid">
        <fgColor rgb="FFCAE8AA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/>
    <xf numFmtId="0" fontId="10" fillId="0" borderId="0" xfId="0" applyFont="1" applyAlignment="1">
      <alignment horizontal="center" vertical="center"/>
    </xf>
    <xf numFmtId="0" fontId="12" fillId="0" borderId="0" xfId="0" applyFont="1"/>
    <xf numFmtId="0" fontId="3" fillId="0" borderId="1" xfId="0" applyFont="1" applyBorder="1" applyAlignment="1">
      <alignment vertical="center" wrapText="1"/>
    </xf>
    <xf numFmtId="0" fontId="8" fillId="4" borderId="4" xfId="0" applyFont="1" applyFill="1" applyBorder="1" applyAlignment="1" applyProtection="1">
      <alignment horizontal="center" vertical="center" wrapText="1"/>
      <protection locked="0"/>
    </xf>
    <xf numFmtId="0" fontId="7" fillId="4" borderId="4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2" fillId="0" borderId="0" xfId="0" applyFont="1" applyFill="1"/>
    <xf numFmtId="0" fontId="13" fillId="0" borderId="3" xfId="0" applyFont="1" applyBorder="1" applyAlignment="1">
      <alignment vertical="center" wrapText="1"/>
    </xf>
    <xf numFmtId="0" fontId="13" fillId="0" borderId="8" xfId="0" applyFont="1" applyBorder="1"/>
    <xf numFmtId="0" fontId="13" fillId="0" borderId="10" xfId="0" applyFont="1" applyBorder="1"/>
    <xf numFmtId="0" fontId="3" fillId="2" borderId="1" xfId="0" applyFont="1" applyFill="1" applyBorder="1" applyAlignment="1" applyProtection="1">
      <alignment vertical="center" wrapText="1"/>
      <protection hidden="1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hidden="1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11" fillId="0" borderId="0" xfId="0" applyFont="1" applyFill="1" applyBorder="1" applyAlignment="1" applyProtection="1">
      <alignment horizontal="center" vertical="center" wrapText="1"/>
      <protection hidden="1"/>
    </xf>
    <xf numFmtId="164" fontId="11" fillId="0" borderId="0" xfId="1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 applyProtection="1">
      <alignment horizontal="center" vertical="center" wrapText="1"/>
      <protection locked="0"/>
    </xf>
    <xf numFmtId="14" fontId="13" fillId="4" borderId="9" xfId="0" applyNumberFormat="1" applyFont="1" applyFill="1" applyBorder="1" applyAlignment="1" applyProtection="1">
      <alignment horizontal="center" vertical="center"/>
      <protection locked="0"/>
    </xf>
    <xf numFmtId="14" fontId="13" fillId="4" borderId="11" xfId="0" applyNumberFormat="1" applyFont="1" applyFill="1" applyBorder="1" applyAlignment="1" applyProtection="1">
      <alignment horizontal="center" vertical="center"/>
      <protection locked="0"/>
    </xf>
    <xf numFmtId="14" fontId="13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8" fillId="4" borderId="3" xfId="0" applyFont="1" applyFill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 applyAlignment="1" applyProtection="1">
      <alignment horizontal="center" vertical="center" wrapText="1"/>
      <protection hidden="1"/>
    </xf>
    <xf numFmtId="0" fontId="18" fillId="0" borderId="0" xfId="0" applyFont="1" applyFill="1"/>
    <xf numFmtId="0" fontId="5" fillId="3" borderId="1" xfId="0" applyFont="1" applyFill="1" applyBorder="1" applyAlignment="1" applyProtection="1">
      <alignment horizontal="center" vertical="center" wrapText="1"/>
      <protection hidden="1"/>
    </xf>
    <xf numFmtId="164" fontId="19" fillId="3" borderId="2" xfId="0" applyNumberFormat="1" applyFont="1" applyFill="1" applyBorder="1"/>
    <xf numFmtId="164" fontId="9" fillId="3" borderId="1" xfId="0" applyNumberFormat="1" applyFont="1" applyFill="1" applyBorder="1" applyAlignment="1" applyProtection="1">
      <alignment vertical="center" wrapText="1"/>
      <protection hidden="1"/>
    </xf>
    <xf numFmtId="164" fontId="9" fillId="3" borderId="2" xfId="0" applyNumberFormat="1" applyFont="1" applyFill="1" applyBorder="1" applyAlignment="1" applyProtection="1">
      <alignment vertical="center" wrapText="1"/>
      <protection hidden="1"/>
    </xf>
    <xf numFmtId="164" fontId="19" fillId="3" borderId="2" xfId="0" applyNumberFormat="1" applyFont="1" applyFill="1" applyBorder="1" applyAlignment="1"/>
    <xf numFmtId="0" fontId="2" fillId="0" borderId="0" xfId="0" applyFont="1" applyFill="1" applyAlignment="1">
      <alignment horizontal="left"/>
    </xf>
    <xf numFmtId="0" fontId="20" fillId="3" borderId="10" xfId="0" applyNumberFormat="1" applyFont="1" applyFill="1" applyBorder="1" applyAlignment="1">
      <alignment horizontal="right" vertical="center"/>
    </xf>
    <xf numFmtId="0" fontId="17" fillId="3" borderId="12" xfId="0" applyFont="1" applyFill="1" applyBorder="1" applyAlignment="1">
      <alignment horizontal="right" vertical="center"/>
    </xf>
    <xf numFmtId="0" fontId="2" fillId="0" borderId="0" xfId="0" applyFont="1"/>
    <xf numFmtId="0" fontId="21" fillId="0" borderId="0" xfId="0" applyFont="1" applyAlignment="1">
      <alignment horizontal="center" vertical="center"/>
    </xf>
    <xf numFmtId="0" fontId="2" fillId="0" borderId="0" xfId="0" applyFont="1" applyFill="1" applyAlignment="1"/>
    <xf numFmtId="0" fontId="14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 applyProtection="1">
      <alignment vertical="center" wrapText="1"/>
      <protection hidden="1"/>
    </xf>
    <xf numFmtId="0" fontId="23" fillId="0" borderId="0" xfId="0" applyFont="1" applyFill="1" applyBorder="1" applyAlignment="1" applyProtection="1">
      <alignment horizontal="center" vertical="center" wrapText="1"/>
      <protection hidden="1"/>
    </xf>
    <xf numFmtId="164" fontId="23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26" fillId="0" borderId="0" xfId="0" applyFont="1" applyFill="1" applyAlignment="1">
      <alignment horizontal="center" vertical="center"/>
    </xf>
    <xf numFmtId="14" fontId="16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27" fillId="0" borderId="0" xfId="0" applyFont="1" applyFill="1"/>
    <xf numFmtId="0" fontId="27" fillId="0" borderId="0" xfId="0" applyFont="1"/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0" fontId="28" fillId="5" borderId="2" xfId="0" applyNumberFormat="1" applyFont="1" applyFill="1" applyBorder="1"/>
    <xf numFmtId="0" fontId="14" fillId="0" borderId="0" xfId="0" applyFont="1" applyAlignment="1">
      <alignment horizontal="center" vertical="center"/>
    </xf>
    <xf numFmtId="1" fontId="2" fillId="0" borderId="0" xfId="0" applyNumberFormat="1" applyFont="1" applyFill="1"/>
    <xf numFmtId="14" fontId="29" fillId="0" borderId="0" xfId="0" applyNumberFormat="1" applyFont="1" applyFill="1" applyProtection="1">
      <protection hidden="1"/>
    </xf>
    <xf numFmtId="0" fontId="29" fillId="0" borderId="0" xfId="0" applyFont="1" applyFill="1" applyAlignment="1" applyProtection="1">
      <alignment vertical="center"/>
      <protection hidden="1"/>
    </xf>
    <xf numFmtId="0" fontId="29" fillId="0" borderId="0" xfId="0" applyFont="1" applyFill="1" applyProtection="1">
      <protection hidden="1"/>
    </xf>
    <xf numFmtId="14" fontId="2" fillId="0" borderId="0" xfId="0" applyNumberFormat="1" applyFont="1" applyFill="1" applyAlignment="1">
      <alignment horizontal="center"/>
    </xf>
    <xf numFmtId="0" fontId="30" fillId="0" borderId="0" xfId="0" applyNumberFormat="1" applyFont="1" applyFill="1" applyBorder="1"/>
    <xf numFmtId="14" fontId="30" fillId="0" borderId="0" xfId="0" applyNumberFormat="1" applyFont="1" applyFill="1" applyBorder="1" applyAlignment="1" applyProtection="1">
      <alignment horizontal="center" vertical="center"/>
      <protection locked="0"/>
    </xf>
    <xf numFmtId="14" fontId="30" fillId="0" borderId="0" xfId="0" applyNumberFormat="1" applyFont="1" applyFill="1" applyBorder="1" applyAlignment="1" applyProtection="1">
      <alignment horizontal="center" vertical="center" wrapText="1"/>
      <protection locked="0"/>
    </xf>
    <xf numFmtId="2" fontId="3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0" xfId="0" applyFont="1" applyFill="1" applyProtection="1">
      <protection hidden="1"/>
    </xf>
    <xf numFmtId="0" fontId="31" fillId="0" borderId="0" xfId="0" applyFont="1" applyFill="1" applyBorder="1" applyAlignment="1" applyProtection="1">
      <alignment horizontal="center" vertical="center" wrapText="1"/>
      <protection locked="0"/>
    </xf>
    <xf numFmtId="0" fontId="32" fillId="0" borderId="0" xfId="0" applyFont="1" applyFill="1" applyBorder="1" applyAlignment="1" applyProtection="1">
      <alignment horizontal="right" vertical="center" wrapText="1"/>
      <protection hidden="1"/>
    </xf>
    <xf numFmtId="0" fontId="33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 applyProtection="1">
      <alignment horizontal="center" vertical="center" wrapText="1"/>
      <protection hidden="1"/>
    </xf>
    <xf numFmtId="14" fontId="11" fillId="0" borderId="0" xfId="0" applyNumberFormat="1" applyFont="1" applyFill="1" applyBorder="1" applyAlignment="1" applyProtection="1">
      <alignment horizontal="center" vertical="center" wrapText="1"/>
      <protection hidden="1"/>
    </xf>
    <xf numFmtId="164" fontId="9" fillId="0" borderId="0" xfId="0" applyNumberFormat="1" applyFont="1" applyFill="1" applyBorder="1" applyAlignment="1" applyProtection="1">
      <alignment horizontal="center" vertical="center" wrapText="1"/>
      <protection hidden="1"/>
    </xf>
    <xf numFmtId="14" fontId="2" fillId="0" borderId="0" xfId="0" applyNumberFormat="1" applyFont="1" applyFill="1"/>
    <xf numFmtId="0" fontId="2" fillId="0" borderId="0" xfId="0" applyFont="1" applyFill="1" applyAlignment="1">
      <alignment horizontal="right"/>
    </xf>
    <xf numFmtId="164" fontId="9" fillId="0" borderId="1" xfId="1" applyFont="1" applyFill="1" applyBorder="1" applyAlignment="1" applyProtection="1">
      <alignment horizontal="center" vertical="center" wrapText="1"/>
      <protection hidden="1"/>
    </xf>
    <xf numFmtId="14" fontId="29" fillId="0" borderId="0" xfId="0" applyNumberFormat="1" applyFont="1" applyFill="1"/>
    <xf numFmtId="0" fontId="29" fillId="0" borderId="0" xfId="0" applyFont="1" applyFill="1"/>
    <xf numFmtId="7" fontId="20" fillId="3" borderId="11" xfId="0" applyNumberFormat="1" applyFont="1" applyFill="1" applyBorder="1" applyAlignment="1">
      <alignment horizontal="center" vertical="center"/>
    </xf>
    <xf numFmtId="7" fontId="17" fillId="3" borderId="13" xfId="0" applyNumberFormat="1" applyFont="1" applyFill="1" applyBorder="1" applyAlignment="1">
      <alignment horizontal="center"/>
    </xf>
    <xf numFmtId="0" fontId="16" fillId="5" borderId="5" xfId="0" applyFont="1" applyFill="1" applyBorder="1" applyAlignment="1">
      <alignment horizontal="center" vertical="center"/>
    </xf>
    <xf numFmtId="14" fontId="29" fillId="0" borderId="0" xfId="0" applyNumberFormat="1" applyFont="1" applyFill="1" applyBorder="1" applyAlignment="1" applyProtection="1">
      <alignment horizontal="center" vertical="center"/>
      <protection locked="0"/>
    </xf>
    <xf numFmtId="14" fontId="29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0" fontId="3" fillId="6" borderId="1" xfId="0" applyFont="1" applyFill="1" applyBorder="1" applyAlignment="1" applyProtection="1">
      <alignment vertical="center" wrapText="1"/>
      <protection hidden="1"/>
    </xf>
    <xf numFmtId="0" fontId="3" fillId="7" borderId="1" xfId="0" applyFont="1" applyFill="1" applyBorder="1" applyAlignment="1" applyProtection="1">
      <alignment vertical="center" wrapText="1"/>
      <protection hidden="1"/>
    </xf>
    <xf numFmtId="0" fontId="3" fillId="7" borderId="3" xfId="0" applyFont="1" applyFill="1" applyBorder="1" applyAlignment="1" applyProtection="1">
      <alignment vertical="center" wrapText="1"/>
      <protection hidden="1"/>
    </xf>
    <xf numFmtId="0" fontId="4" fillId="8" borderId="3" xfId="0" applyFont="1" applyFill="1" applyBorder="1" applyAlignment="1" applyProtection="1">
      <alignment horizontal="center" vertical="center" wrapText="1"/>
      <protection hidden="1"/>
    </xf>
    <xf numFmtId="0" fontId="4" fillId="8" borderId="1" xfId="0" applyFont="1" applyFill="1" applyBorder="1" applyAlignment="1" applyProtection="1">
      <alignment horizontal="center" vertical="center" wrapText="1"/>
      <protection hidden="1"/>
    </xf>
    <xf numFmtId="0" fontId="2" fillId="5" borderId="6" xfId="0" applyFont="1" applyFill="1" applyBorder="1"/>
    <xf numFmtId="0" fontId="2" fillId="0" borderId="0" xfId="0" applyFont="1" applyFill="1" applyBorder="1"/>
    <xf numFmtId="0" fontId="14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4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1" fontId="2" fillId="0" borderId="0" xfId="0" applyNumberFormat="1" applyFont="1" applyFill="1" applyBorder="1"/>
    <xf numFmtId="0" fontId="35" fillId="0" borderId="0" xfId="0" applyFont="1" applyFill="1" applyBorder="1" applyAlignment="1">
      <alignment vertical="center" wrapText="1"/>
    </xf>
    <xf numFmtId="14" fontId="11" fillId="5" borderId="0" xfId="0" applyNumberFormat="1" applyFont="1" applyFill="1" applyBorder="1" applyAlignment="1" applyProtection="1">
      <alignment horizontal="center" vertical="center" wrapText="1"/>
      <protection locked="0"/>
    </xf>
    <xf numFmtId="14" fontId="29" fillId="5" borderId="0" xfId="0" applyNumberFormat="1" applyFont="1" applyFill="1" applyBorder="1" applyProtection="1">
      <protection hidden="1"/>
    </xf>
    <xf numFmtId="0" fontId="35" fillId="0" borderId="0" xfId="0" applyFont="1" applyFill="1" applyBorder="1" applyAlignment="1" applyProtection="1">
      <alignment vertical="center" wrapText="1"/>
      <protection hidden="1"/>
    </xf>
    <xf numFmtId="0" fontId="11" fillId="5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 applyProtection="1">
      <alignment vertical="center"/>
      <protection hidden="1"/>
    </xf>
    <xf numFmtId="0" fontId="29" fillId="0" borderId="0" xfId="0" applyFont="1" applyFill="1" applyBorder="1" applyProtection="1">
      <protection hidden="1"/>
    </xf>
    <xf numFmtId="0" fontId="19" fillId="0" borderId="0" xfId="0" applyNumberFormat="1" applyFont="1" applyFill="1" applyBorder="1" applyAlignment="1">
      <alignment horizontal="right" vertical="center"/>
    </xf>
    <xf numFmtId="39" fontId="19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/>
    </xf>
    <xf numFmtId="0" fontId="9" fillId="5" borderId="0" xfId="0" applyFont="1" applyFill="1" applyBorder="1" applyAlignment="1" applyProtection="1">
      <alignment horizontal="center" vertical="center" wrapText="1"/>
      <protection locked="0"/>
    </xf>
    <xf numFmtId="0" fontId="38" fillId="0" borderId="0" xfId="0" applyFont="1" applyFill="1" applyBorder="1" applyAlignment="1">
      <alignment horizontal="right" vertical="center"/>
    </xf>
    <xf numFmtId="39" fontId="38" fillId="0" borderId="0" xfId="0" applyNumberFormat="1" applyFont="1" applyFill="1" applyBorder="1"/>
    <xf numFmtId="0" fontId="9" fillId="5" borderId="0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Fill="1" applyBorder="1" applyAlignment="1">
      <alignment horizontal="left"/>
    </xf>
    <xf numFmtId="0" fontId="9" fillId="0" borderId="0" xfId="0" applyFont="1" applyFill="1" applyBorder="1" applyAlignment="1" applyProtection="1">
      <alignment vertical="center" wrapText="1"/>
      <protection hidden="1"/>
    </xf>
    <xf numFmtId="164" fontId="9" fillId="0" borderId="0" xfId="1" applyFont="1" applyFill="1" applyBorder="1" applyAlignment="1" applyProtection="1">
      <alignment horizontal="center" vertical="center" wrapText="1"/>
      <protection hidden="1"/>
    </xf>
    <xf numFmtId="0" fontId="11" fillId="5" borderId="0" xfId="0" applyFont="1" applyFill="1" applyBorder="1" applyAlignment="1" applyProtection="1">
      <alignment horizontal="center" vertical="center" wrapText="1"/>
      <protection locked="0"/>
    </xf>
    <xf numFmtId="164" fontId="9" fillId="0" borderId="0" xfId="0" applyNumberFormat="1" applyFont="1" applyFill="1" applyBorder="1" applyAlignment="1" applyProtection="1">
      <alignment vertical="center" wrapText="1"/>
      <protection hidden="1"/>
    </xf>
    <xf numFmtId="164" fontId="19" fillId="0" borderId="0" xfId="0" applyNumberFormat="1" applyFont="1" applyFill="1" applyBorder="1"/>
    <xf numFmtId="14" fontId="11" fillId="5" borderId="0" xfId="0" applyNumberFormat="1" applyFont="1" applyFill="1" applyBorder="1" applyAlignment="1" applyProtection="1">
      <alignment horizontal="center" vertical="center" wrapText="1"/>
      <protection hidden="1"/>
    </xf>
    <xf numFmtId="14" fontId="2" fillId="5" borderId="0" xfId="0" applyNumberFormat="1" applyFont="1" applyFill="1" applyBorder="1"/>
    <xf numFmtId="14" fontId="2" fillId="0" borderId="0" xfId="0" applyNumberFormat="1" applyFont="1" applyFill="1" applyBorder="1" applyAlignment="1">
      <alignment horizontal="center"/>
    </xf>
    <xf numFmtId="0" fontId="2" fillId="5" borderId="0" xfId="0" applyFont="1" applyFill="1" applyBorder="1"/>
    <xf numFmtId="0" fontId="2" fillId="5" borderId="0" xfId="0" applyNumberFormat="1" applyFont="1" applyFill="1" applyBorder="1"/>
    <xf numFmtId="14" fontId="2" fillId="0" borderId="0" xfId="0" applyNumberFormat="1" applyFont="1" applyFill="1" applyBorder="1"/>
    <xf numFmtId="0" fontId="29" fillId="0" borderId="0" xfId="0" applyFont="1" applyFill="1" applyBorder="1"/>
    <xf numFmtId="14" fontId="29" fillId="0" borderId="0" xfId="0" applyNumberFormat="1" applyFont="1" applyFill="1" applyBorder="1" applyProtection="1">
      <protection hidden="1"/>
    </xf>
    <xf numFmtId="14" fontId="29" fillId="0" borderId="0" xfId="0" applyNumberFormat="1" applyFont="1" applyFill="1" applyBorder="1"/>
    <xf numFmtId="0" fontId="29" fillId="0" borderId="0" xfId="0" applyFont="1" applyFill="1" applyBorder="1" applyAlignment="1">
      <alignment vertical="center" wrapText="1"/>
    </xf>
    <xf numFmtId="0" fontId="30" fillId="0" borderId="0" xfId="0" applyFont="1" applyFill="1" applyBorder="1" applyProtection="1">
      <protection hidden="1"/>
    </xf>
    <xf numFmtId="0" fontId="11" fillId="0" borderId="0" xfId="0" applyFont="1" applyFill="1" applyBorder="1" applyAlignment="1" applyProtection="1">
      <alignment horizontal="center" vertical="center" wrapText="1"/>
      <protection locked="0"/>
    </xf>
    <xf numFmtId="164" fontId="19" fillId="0" borderId="0" xfId="0" applyNumberFormat="1" applyFont="1" applyFill="1" applyBorder="1" applyAlignment="1"/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8" fillId="0" borderId="0" xfId="0" applyFont="1" applyAlignment="1">
      <alignment horizontal="left"/>
    </xf>
    <xf numFmtId="0" fontId="0" fillId="0" borderId="0" xfId="0" applyAlignment="1"/>
    <xf numFmtId="0" fontId="15" fillId="9" borderId="0" xfId="0" applyFont="1" applyFill="1" applyBorder="1" applyAlignment="1">
      <alignment horizontal="center" vertical="center" wrapText="1"/>
    </xf>
    <xf numFmtId="0" fontId="13" fillId="9" borderId="0" xfId="0" applyFont="1" applyFill="1" applyBorder="1" applyAlignment="1">
      <alignment horizontal="center" vertical="center"/>
    </xf>
    <xf numFmtId="0" fontId="24" fillId="3" borderId="7" xfId="0" applyFont="1" applyFill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3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/>
    <xf numFmtId="0" fontId="19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center" vertic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colors>
    <mruColors>
      <color rgb="FFFFFF93"/>
      <color rgb="FFCAE8AA"/>
      <color rgb="FFA7E8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869758</xdr:colOff>
      <xdr:row>0</xdr:row>
      <xdr:rowOff>79089</xdr:rowOff>
    </xdr:from>
    <xdr:to>
      <xdr:col>4</xdr:col>
      <xdr:colOff>392546</xdr:colOff>
      <xdr:row>2</xdr:row>
      <xdr:rowOff>148603</xdr:rowOff>
    </xdr:to>
    <xdr:pic>
      <xdr:nvPicPr>
        <xdr:cNvPr id="3" name="Image 2" descr="logo mf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2606" y="79089"/>
          <a:ext cx="1208425" cy="136260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in">
              <a:solidFill>
                <a:srgbClr xmlns:mc="http://schemas.openxmlformats.org/markup-compatibility/2006" val="000000" mc:Ignorable="a14" a14:legacySpreadsheetColorIndex="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EECE1"/>
                </a:outerShdw>
              </a:effectLst>
            </a14:hiddenEffects>
          </a:ext>
        </a:extLst>
      </xdr:spPr>
    </xdr:pic>
    <xdr:clientData/>
  </xdr:twoCellAnchor>
  <xdr:twoCellAnchor>
    <xdr:from>
      <xdr:col>2</xdr:col>
      <xdr:colOff>467365</xdr:colOff>
      <xdr:row>9</xdr:row>
      <xdr:rowOff>211373</xdr:rowOff>
    </xdr:from>
    <xdr:to>
      <xdr:col>5</xdr:col>
      <xdr:colOff>50927</xdr:colOff>
      <xdr:row>22</xdr:row>
      <xdr:rowOff>224052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308747">
          <a:off x="5485789" y="3167009"/>
          <a:ext cx="3408956" cy="169831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3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ATTENTION !</a:t>
          </a:r>
          <a:endParaRPr lang="fr-FR" sz="8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fr-FR" sz="8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Les erreurs</a:t>
          </a:r>
          <a:r>
            <a:rPr lang="fr-F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la direction sur le calcul de </a:t>
          </a: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prime la de service des </a:t>
          </a:r>
          <a:r>
            <a:rPr lang="fr-FR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agents à temps partiels (80 et 90%)</a:t>
          </a:r>
          <a:r>
            <a:rPr lang="fr-FR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fr-FR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doivent être corrigées lors de la 2ème répartition.</a:t>
          </a:r>
          <a:endParaRPr lang="fr-FR" sz="800" b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fr-FR" sz="8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L'absence ne comprend pas, les arrêts pour accidents de travail et maladie professionnelle, les congés pater, maternité et d'adoption...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741405</xdr:colOff>
      <xdr:row>22</xdr:row>
      <xdr:rowOff>73682</xdr:rowOff>
    </xdr:from>
    <xdr:to>
      <xdr:col>14</xdr:col>
      <xdr:colOff>429398</xdr:colOff>
      <xdr:row>35</xdr:row>
      <xdr:rowOff>163097</xdr:rowOff>
    </xdr:to>
    <xdr:pic>
      <xdr:nvPicPr>
        <xdr:cNvPr id="4" name="Image 3" descr="logo mft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10054" y="5387087"/>
          <a:ext cx="2035776" cy="29108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in">
              <a:solidFill>
                <a:srgbClr xmlns:mc="http://schemas.openxmlformats.org/markup-compatibility/2006" val="000000" mc:Ignorable="a14" a14:legacySpreadsheetColorIndex="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EECE1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"/>
  <sheetViews>
    <sheetView tabSelected="1" zoomScale="99" zoomScaleNormal="99" workbookViewId="0">
      <selection activeCell="B30" activeCellId="7" sqref="E1:E1048576 D1:D1048576 A1:A1048576 C1:C1048576 B5 B6 B13:B23 B30:B40"/>
    </sheetView>
  </sheetViews>
  <sheetFormatPr baseColWidth="10" defaultRowHeight="14.4" x14ac:dyDescent="0.3"/>
  <cols>
    <col min="1" max="1" width="56.44140625" customWidth="1"/>
    <col min="2" max="2" width="16.6640625" customWidth="1"/>
    <col min="3" max="3" width="13.88671875" style="8" customWidth="1"/>
    <col min="4" max="4" width="24.5546875" style="3" customWidth="1"/>
    <col min="5" max="5" width="17.33203125" style="8" customWidth="1"/>
    <col min="6" max="6" width="2.44140625" style="34" customWidth="1"/>
    <col min="7" max="8" width="2.44140625" style="8" customWidth="1"/>
    <col min="9" max="10" width="2.44140625" style="34" customWidth="1"/>
  </cols>
  <sheetData>
    <row r="1" spans="1:11" ht="31.2" x14ac:dyDescent="0.3">
      <c r="A1" s="121" t="s">
        <v>33</v>
      </c>
      <c r="B1" s="122"/>
      <c r="C1" s="123"/>
      <c r="D1" s="122"/>
      <c r="E1" s="124"/>
    </row>
    <row r="2" spans="1:11" s="1" customFormat="1" ht="70.8" customHeight="1" thickBot="1" x14ac:dyDescent="0.35">
      <c r="A2" s="125" t="s">
        <v>15</v>
      </c>
      <c r="B2" s="126"/>
      <c r="C2" s="47"/>
      <c r="D2" s="41"/>
      <c r="E2" s="34"/>
      <c r="F2" s="35"/>
      <c r="G2" s="36"/>
      <c r="H2" s="37"/>
      <c r="I2" s="47"/>
      <c r="J2" s="47"/>
      <c r="K2" s="2"/>
    </row>
    <row r="3" spans="1:11" ht="16.8" customHeight="1" thickBot="1" x14ac:dyDescent="0.35">
      <c r="A3" s="18" t="s">
        <v>31</v>
      </c>
      <c r="B3" s="80"/>
      <c r="C3" s="48">
        <f>(C4-B4) -365</f>
        <v>5234</v>
      </c>
      <c r="D3" s="34"/>
    </row>
    <row r="4" spans="1:11" ht="18" customHeight="1" thickBot="1" x14ac:dyDescent="0.4">
      <c r="A4" s="4" t="s">
        <v>10</v>
      </c>
      <c r="B4" s="19">
        <v>39693</v>
      </c>
      <c r="C4" s="49">
        <v>45292</v>
      </c>
      <c r="D4" s="127" t="s">
        <v>23</v>
      </c>
      <c r="E4" s="128"/>
    </row>
    <row r="5" spans="1:11" ht="12.6" customHeight="1" x14ac:dyDescent="0.3">
      <c r="A5" s="59" t="s">
        <v>29</v>
      </c>
      <c r="B5" s="60">
        <f>calcul!B5</f>
        <v>0.23150200000000001</v>
      </c>
      <c r="C5" s="50"/>
      <c r="D5" s="129"/>
      <c r="E5" s="130"/>
    </row>
    <row r="6" spans="1:11" ht="17.399999999999999" customHeight="1" thickBot="1" x14ac:dyDescent="0.4">
      <c r="A6" s="59" t="s">
        <v>30</v>
      </c>
      <c r="B6" s="61">
        <f>calcul!B6</f>
        <v>0.1987966504</v>
      </c>
      <c r="C6" s="51">
        <f>IF(B7&lt;300,0,C8)</f>
        <v>600</v>
      </c>
      <c r="D6" s="32" t="s">
        <v>26</v>
      </c>
      <c r="E6" s="69">
        <f>B17+B31</f>
        <v>2077.0023712295474</v>
      </c>
      <c r="I6" s="65"/>
    </row>
    <row r="7" spans="1:11" ht="19.8" customHeight="1" thickBot="1" x14ac:dyDescent="0.4">
      <c r="A7" s="12" t="s">
        <v>1</v>
      </c>
      <c r="B7" s="13">
        <v>600</v>
      </c>
      <c r="C7" s="51">
        <f>IF(B7&gt;430,B7,IF(B7&gt;417,B7+15,IF(B7&gt;369,B7+30,IF(B7&gt;355,B7+35,B7+45))))</f>
        <v>600</v>
      </c>
      <c r="D7" s="32" t="s">
        <v>27</v>
      </c>
      <c r="E7" s="69">
        <f>B19+B33</f>
        <v>261.52334969902449</v>
      </c>
      <c r="H7" s="65"/>
      <c r="I7" s="65"/>
    </row>
    <row r="8" spans="1:11" ht="27" customHeight="1" thickBot="1" x14ac:dyDescent="0.5">
      <c r="A8" s="14" t="s">
        <v>2</v>
      </c>
      <c r="B8" s="13" t="s">
        <v>35</v>
      </c>
      <c r="C8" s="51">
        <f>IF(B8="C",C7,B7)</f>
        <v>600</v>
      </c>
      <c r="D8" s="33" t="s">
        <v>21</v>
      </c>
      <c r="E8" s="70">
        <f>SUM(E6:E7)</f>
        <v>2338.5257209285719</v>
      </c>
    </row>
    <row r="9" spans="1:11" ht="18" customHeight="1" thickBot="1" x14ac:dyDescent="0.4">
      <c r="A9" s="75" t="s">
        <v>3</v>
      </c>
      <c r="B9" s="15">
        <v>22</v>
      </c>
      <c r="C9" s="51"/>
      <c r="D9" s="31"/>
    </row>
    <row r="10" spans="1:11" ht="18" customHeight="1" thickBot="1" x14ac:dyDescent="0.4">
      <c r="A10" s="76" t="s">
        <v>12</v>
      </c>
      <c r="B10" s="13">
        <v>0.8</v>
      </c>
      <c r="C10" s="51">
        <f>IF(B10=1,B10,IF(B10=0.9,0.9143,IF(B10=0.8,0.8571,B10)))</f>
        <v>0.85709999999999997</v>
      </c>
      <c r="D10" s="31"/>
      <c r="K10" s="34"/>
    </row>
    <row r="11" spans="1:11" s="8" customFormat="1" ht="8.4" customHeight="1" thickBot="1" x14ac:dyDescent="0.4">
      <c r="A11" s="38" t="s">
        <v>22</v>
      </c>
      <c r="B11" s="66">
        <f>B6*C6*B9*C10</f>
        <v>2249.1296395634877</v>
      </c>
      <c r="C11" s="51">
        <f>B5*C6*B9*C10</f>
        <v>2619.1488074400004</v>
      </c>
      <c r="H11" s="8">
        <f>IF(B7&lt;418,C7,B7)</f>
        <v>600</v>
      </c>
    </row>
    <row r="12" spans="1:11" ht="18" customHeight="1" thickBot="1" x14ac:dyDescent="0.4">
      <c r="A12" s="78" t="s">
        <v>11</v>
      </c>
      <c r="B12" s="23">
        <v>15</v>
      </c>
      <c r="C12" s="51"/>
      <c r="D12" s="8"/>
      <c r="H12" s="8">
        <f>IF(B8="C",C7,IF(B7&lt;418,C7,B7))</f>
        <v>600</v>
      </c>
      <c r="K12" s="34"/>
    </row>
    <row r="13" spans="1:11" s="25" customFormat="1" ht="4.8" customHeight="1" x14ac:dyDescent="0.35">
      <c r="A13" s="39" t="s">
        <v>4</v>
      </c>
      <c r="B13" s="40">
        <f>IF(B12&gt;5,B11*B12/140,0)</f>
        <v>240.97817566751655</v>
      </c>
      <c r="C13" s="51">
        <f>IF(B12&gt;5,C11*B12/140,0)</f>
        <v>280.62308651142865</v>
      </c>
      <c r="D13" s="8"/>
      <c r="E13" s="8"/>
      <c r="F13" s="8"/>
      <c r="G13" s="8"/>
      <c r="H13" s="8"/>
      <c r="I13" s="8"/>
      <c r="J13" s="8"/>
      <c r="K13" s="8"/>
    </row>
    <row r="14" spans="1:11" s="25" customFormat="1" ht="4.8" customHeight="1" x14ac:dyDescent="0.3">
      <c r="A14" s="16" t="s">
        <v>5</v>
      </c>
      <c r="B14" s="17">
        <f>B11-B13</f>
        <v>2008.1514638959711</v>
      </c>
      <c r="C14" s="17">
        <f>C11-C13</f>
        <v>2338.5257209285719</v>
      </c>
      <c r="D14" s="8"/>
      <c r="E14" s="8"/>
      <c r="F14" s="8"/>
      <c r="G14" s="8"/>
      <c r="H14" s="8"/>
      <c r="I14" s="8"/>
      <c r="J14" s="8"/>
      <c r="K14" s="8"/>
    </row>
    <row r="15" spans="1:11" s="8" customFormat="1" ht="4.8" customHeight="1" x14ac:dyDescent="0.35">
      <c r="A15" s="16"/>
      <c r="B15" s="17"/>
      <c r="C15" s="51"/>
    </row>
    <row r="16" spans="1:11" s="8" customFormat="1" ht="4.8" customHeight="1" thickBot="1" x14ac:dyDescent="0.4">
      <c r="A16" s="16"/>
      <c r="B16" s="17"/>
      <c r="C16" s="51"/>
    </row>
    <row r="17" spans="1:11" ht="18" customHeight="1" thickBot="1" x14ac:dyDescent="0.4">
      <c r="A17" s="24" t="s">
        <v>17</v>
      </c>
      <c r="B17" s="28">
        <f>calcul!B17</f>
        <v>2077.0023712295474</v>
      </c>
      <c r="C17" s="51"/>
      <c r="D17" s="8"/>
      <c r="K17" s="34"/>
    </row>
    <row r="18" spans="1:11" ht="6" customHeight="1" thickBot="1" x14ac:dyDescent="0.35">
      <c r="A18" s="8"/>
      <c r="B18" s="36"/>
      <c r="D18" s="8"/>
      <c r="F18" s="8"/>
      <c r="K18" s="34"/>
    </row>
    <row r="19" spans="1:11" ht="18.600000000000001" thickBot="1" x14ac:dyDescent="0.4">
      <c r="A19" s="24" t="s">
        <v>20</v>
      </c>
      <c r="B19" s="27">
        <f>calcul!B19</f>
        <v>261.52334969902449</v>
      </c>
      <c r="D19" s="8"/>
      <c r="K19" s="34"/>
    </row>
    <row r="20" spans="1:11" s="8" customFormat="1" ht="8.4" customHeight="1" x14ac:dyDescent="0.35">
      <c r="A20" s="16"/>
      <c r="B20" s="17"/>
      <c r="C20" s="51"/>
    </row>
    <row r="21" spans="1:11" s="8" customFormat="1" ht="8.4" customHeight="1" x14ac:dyDescent="0.35">
      <c r="A21" s="62">
        <v>45292</v>
      </c>
      <c r="B21" s="63"/>
      <c r="C21" s="51"/>
    </row>
    <row r="22" spans="1:11" s="8" customFormat="1" ht="8.4" customHeight="1" thickBot="1" x14ac:dyDescent="0.35">
      <c r="A22" s="64">
        <v>45231</v>
      </c>
      <c r="B22" s="64">
        <v>45658</v>
      </c>
      <c r="C22" s="52"/>
      <c r="D22" s="65" t="s">
        <v>28</v>
      </c>
      <c r="E22" s="8">
        <v>366</v>
      </c>
    </row>
    <row r="23" spans="1:11" s="7" customFormat="1" ht="18.600000000000001" thickBot="1" x14ac:dyDescent="0.35">
      <c r="A23" s="71" t="s">
        <v>32</v>
      </c>
      <c r="B23" s="46">
        <v>440</v>
      </c>
      <c r="C23" s="53"/>
      <c r="D23" s="64"/>
      <c r="E23" s="8"/>
      <c r="F23" s="8"/>
      <c r="G23" s="8"/>
      <c r="H23" s="8"/>
      <c r="I23" s="8"/>
      <c r="J23" s="8"/>
      <c r="K23" s="8"/>
    </row>
    <row r="24" spans="1:11" ht="18" x14ac:dyDescent="0.35">
      <c r="A24" s="10" t="s">
        <v>16</v>
      </c>
      <c r="B24" s="20"/>
      <c r="C24" s="54">
        <f>IF(B24&lt;A21,A21,B24)</f>
        <v>45292</v>
      </c>
      <c r="D24" s="72" t="str">
        <f>IF(B24="","",C24)</f>
        <v/>
      </c>
      <c r="E24" s="48">
        <f>(E25-B26) -365</f>
        <v>45293</v>
      </c>
      <c r="F24" s="8"/>
      <c r="H24" s="34"/>
      <c r="I24" s="8"/>
      <c r="J24" s="8"/>
      <c r="K24" s="34"/>
    </row>
    <row r="25" spans="1:11" ht="18" x14ac:dyDescent="0.35">
      <c r="A25" s="11" t="s">
        <v>7</v>
      </c>
      <c r="B25" s="21"/>
      <c r="C25" s="54">
        <f>IF(B25&lt;A21,A21,B25)</f>
        <v>45292</v>
      </c>
      <c r="D25" s="72" t="str">
        <f>IF(B25="","",C25)</f>
        <v/>
      </c>
      <c r="E25" s="49">
        <f>IF(B26="",B22,B26)</f>
        <v>45658</v>
      </c>
      <c r="F25" s="67"/>
      <c r="G25" s="67">
        <f>MIN(D24,D25)</f>
        <v>0</v>
      </c>
      <c r="H25" s="34"/>
      <c r="I25" s="8"/>
      <c r="J25" s="8"/>
      <c r="K25" s="34"/>
    </row>
    <row r="26" spans="1:11" ht="18.600000000000001" thickBot="1" x14ac:dyDescent="0.35">
      <c r="A26" s="9" t="s">
        <v>8</v>
      </c>
      <c r="B26" s="22"/>
      <c r="C26" s="55"/>
      <c r="D26" s="73"/>
      <c r="E26" s="8">
        <f>E25-G25</f>
        <v>45658</v>
      </c>
      <c r="F26" s="8">
        <f>B23*E26/E22</f>
        <v>54889.398907103823</v>
      </c>
      <c r="H26" s="34"/>
      <c r="I26" s="8"/>
      <c r="J26" s="8"/>
      <c r="K26" s="34"/>
    </row>
    <row r="27" spans="1:11" s="1" customFormat="1" ht="18.600000000000001" thickBot="1" x14ac:dyDescent="0.35">
      <c r="A27" s="9" t="s">
        <v>24</v>
      </c>
      <c r="B27" s="42" t="s">
        <v>34</v>
      </c>
      <c r="C27" s="56">
        <f>IF(B27="NC",B28,C28)</f>
        <v>0</v>
      </c>
      <c r="D27" s="73"/>
      <c r="E27" s="8"/>
      <c r="F27" s="8"/>
      <c r="G27" s="8"/>
      <c r="H27" s="34"/>
      <c r="I27" s="8"/>
      <c r="J27" s="8"/>
      <c r="K27" s="34"/>
    </row>
    <row r="28" spans="1:11" ht="18.600000000000001" thickBot="1" x14ac:dyDescent="0.4">
      <c r="A28" s="77" t="s">
        <v>9</v>
      </c>
      <c r="B28" s="6">
        <v>0</v>
      </c>
      <c r="C28" s="57">
        <f>IF(B28=1,B28,IF(B28=0.9,0.9143,IF(B28=0.8,0.8571,B28)))</f>
        <v>0</v>
      </c>
      <c r="D28" s="74"/>
      <c r="E28" s="45"/>
      <c r="F28" s="8"/>
      <c r="G28" s="68"/>
      <c r="H28" s="34"/>
      <c r="I28" s="8"/>
      <c r="J28" s="8"/>
      <c r="K28" s="34"/>
    </row>
    <row r="29" spans="1:11" ht="18.600000000000001" thickBot="1" x14ac:dyDescent="0.35">
      <c r="A29" s="79" t="s">
        <v>11</v>
      </c>
      <c r="B29" s="5"/>
      <c r="C29" s="58"/>
      <c r="E29" s="43"/>
      <c r="F29" s="8"/>
      <c r="H29" s="34"/>
      <c r="I29" s="8"/>
      <c r="J29" s="8"/>
    </row>
    <row r="30" spans="1:11" s="34" customFormat="1" ht="10.199999999999999" customHeight="1" thickBot="1" x14ac:dyDescent="0.35">
      <c r="A30" s="8">
        <f>IF(B24&lt;A22,C30-B30,0)</f>
        <v>54889.398907103823</v>
      </c>
      <c r="B30" s="40">
        <f>IF(B29&gt;5,C30*B29/140,0)</f>
        <v>0</v>
      </c>
      <c r="C30" s="8">
        <f>F26</f>
        <v>54889.398907103823</v>
      </c>
      <c r="D30" s="8"/>
      <c r="E30" s="8"/>
      <c r="G30" s="8"/>
      <c r="H30" s="8"/>
    </row>
    <row r="31" spans="1:11" ht="23.4" customHeight="1" thickBot="1" x14ac:dyDescent="0.35">
      <c r="A31" s="26" t="s">
        <v>19</v>
      </c>
      <c r="B31" s="29">
        <f>calcul!B31</f>
        <v>0</v>
      </c>
      <c r="D31" s="43"/>
      <c r="E31" s="43"/>
    </row>
    <row r="32" spans="1:11" s="34" customFormat="1" ht="7.2" customHeight="1" thickBot="1" x14ac:dyDescent="0.35">
      <c r="A32" s="8">
        <f>IF(B24+B25=0,0,A30)</f>
        <v>0</v>
      </c>
      <c r="B32" s="36">
        <f>A32*C27</f>
        <v>0</v>
      </c>
      <c r="C32" s="8"/>
      <c r="D32" s="8"/>
      <c r="E32" s="8"/>
      <c r="G32" s="8"/>
      <c r="H32" s="8"/>
    </row>
    <row r="33" spans="1:5" ht="23.4" customHeight="1" thickBot="1" x14ac:dyDescent="0.4">
      <c r="A33" s="24" t="s">
        <v>18</v>
      </c>
      <c r="B33" s="30">
        <f>calcul!B33</f>
        <v>0</v>
      </c>
      <c r="D33" s="44"/>
      <c r="E33" s="43"/>
    </row>
    <row r="34" spans="1:5" ht="7.2" customHeight="1" x14ac:dyDescent="0.3">
      <c r="A34" s="43"/>
      <c r="B34" s="43"/>
      <c r="D34" s="43"/>
      <c r="E34" s="43"/>
    </row>
    <row r="35" spans="1:5" x14ac:dyDescent="0.3">
      <c r="A35" s="43"/>
      <c r="B35" s="43"/>
      <c r="D35" s="43"/>
      <c r="E35" s="43"/>
    </row>
    <row r="36" spans="1:5" x14ac:dyDescent="0.3">
      <c r="A36" s="43"/>
      <c r="B36" s="43"/>
      <c r="D36" s="43"/>
      <c r="E36" s="43"/>
    </row>
    <row r="37" spans="1:5" x14ac:dyDescent="0.3">
      <c r="A37" s="43"/>
      <c r="B37" s="43"/>
      <c r="D37" s="43"/>
      <c r="E37" s="43"/>
    </row>
    <row r="38" spans="1:5" x14ac:dyDescent="0.3">
      <c r="A38" s="43"/>
      <c r="B38" s="43"/>
      <c r="D38" s="43"/>
      <c r="E38" s="43"/>
    </row>
    <row r="39" spans="1:5" x14ac:dyDescent="0.3">
      <c r="A39" s="44"/>
      <c r="B39" s="44"/>
      <c r="D39" s="44"/>
      <c r="E39" s="43"/>
    </row>
    <row r="40" spans="1:5" x14ac:dyDescent="0.3">
      <c r="D40" s="34"/>
    </row>
  </sheetData>
  <sheetProtection algorithmName="SHA-512" hashValue="2HbRzWXF1LbshXTo+RMSYXiSyddHvLMQmN885jX3URePeY4f+c4o+jDkDyXb2H8kCLAItdMfWDTpXMOGn+2rkA==" saltValue="a7ImzBBKPJ4ncG7KMI6KVg==" spinCount="100000" sheet="1" objects="1" scenarios="1"/>
  <mergeCells count="3">
    <mergeCell ref="A1:E1"/>
    <mergeCell ref="A2:B2"/>
    <mergeCell ref="D4:E5"/>
  </mergeCells>
  <pageMargins left="0.23622047244094491" right="0.23622047244094491" top="0.15748031496062992" bottom="0.15748031496062992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3"/>
  <sheetViews>
    <sheetView zoomScale="107" zoomScaleNormal="107" workbookViewId="0">
      <selection activeCell="A2" sqref="A2:B2"/>
    </sheetView>
  </sheetViews>
  <sheetFormatPr baseColWidth="10" defaultRowHeight="14.4" x14ac:dyDescent="0.3"/>
  <cols>
    <col min="1" max="1" width="56.44140625" style="81" customWidth="1"/>
    <col min="2" max="2" width="16.6640625" style="81" customWidth="1"/>
    <col min="3" max="3" width="17" style="81" customWidth="1"/>
    <col min="4" max="4" width="24.5546875" style="81" customWidth="1"/>
    <col min="5" max="5" width="17.33203125" style="81" customWidth="1"/>
    <col min="6" max="6" width="12.88671875" style="81" customWidth="1"/>
    <col min="7" max="7" width="1.33203125" style="81" customWidth="1"/>
    <col min="8" max="8" width="11.5546875" style="81"/>
    <col min="9" max="9" width="5.44140625" style="81" customWidth="1"/>
    <col min="10" max="16384" width="11.5546875" style="81"/>
  </cols>
  <sheetData>
    <row r="1" spans="1:11" ht="31.2" x14ac:dyDescent="0.3">
      <c r="A1" s="131" t="s">
        <v>33</v>
      </c>
      <c r="B1" s="132"/>
      <c r="C1" s="132"/>
      <c r="D1" s="132"/>
      <c r="E1" s="133"/>
    </row>
    <row r="2" spans="1:11" ht="70.8" customHeight="1" x14ac:dyDescent="0.3">
      <c r="A2" s="134" t="s">
        <v>15</v>
      </c>
      <c r="B2" s="135"/>
      <c r="C2" s="82"/>
      <c r="D2" s="83" t="s">
        <v>6</v>
      </c>
      <c r="F2" s="83"/>
      <c r="G2" s="84"/>
      <c r="H2" s="85"/>
      <c r="I2" s="82"/>
      <c r="J2" s="82"/>
      <c r="K2" s="82"/>
    </row>
    <row r="3" spans="1:11" ht="16.8" customHeight="1" x14ac:dyDescent="0.3">
      <c r="A3" s="86" t="s">
        <v>13</v>
      </c>
      <c r="C3" s="87">
        <f>(C4-B4) -365</f>
        <v>5600</v>
      </c>
    </row>
    <row r="4" spans="1:11" ht="18" customHeight="1" x14ac:dyDescent="0.35">
      <c r="A4" s="88" t="s">
        <v>10</v>
      </c>
      <c r="B4" s="89">
        <f>IF(Prime!B4=0,"",Prime!B4)</f>
        <v>39693</v>
      </c>
      <c r="C4" s="90">
        <v>45658</v>
      </c>
      <c r="D4" s="136" t="s">
        <v>23</v>
      </c>
      <c r="E4" s="137"/>
    </row>
    <row r="5" spans="1:11" ht="12.6" customHeight="1" x14ac:dyDescent="0.3">
      <c r="A5" s="91" t="s">
        <v>25</v>
      </c>
      <c r="B5" s="92">
        <v>0.23150200000000001</v>
      </c>
      <c r="C5" s="93"/>
      <c r="D5" s="137"/>
      <c r="E5" s="137"/>
    </row>
    <row r="6" spans="1:11" ht="18" customHeight="1" x14ac:dyDescent="0.35">
      <c r="A6" s="91" t="s">
        <v>0</v>
      </c>
      <c r="B6" s="92">
        <v>0.1987966504</v>
      </c>
      <c r="C6" s="94">
        <f>IF(B7&lt;300,0,C8)</f>
        <v>600</v>
      </c>
      <c r="D6" s="95" t="s">
        <v>26</v>
      </c>
      <c r="E6" s="96">
        <f>B17+B31</f>
        <v>2077.0023712295474</v>
      </c>
      <c r="I6" s="97"/>
    </row>
    <row r="7" spans="1:11" ht="22.8" customHeight="1" x14ac:dyDescent="0.35">
      <c r="A7" s="91" t="s">
        <v>1</v>
      </c>
      <c r="B7" s="98">
        <f>Prime!B7</f>
        <v>600</v>
      </c>
      <c r="C7" s="94">
        <f>IF(B7&gt;430,B7,IF(B7&gt;417,B7+15,IF(B7&gt;369,B7+30,IF(B7&gt;355,B7+35,B7+45))))</f>
        <v>600</v>
      </c>
      <c r="D7" s="95" t="s">
        <v>27</v>
      </c>
      <c r="E7" s="96">
        <f>B19+B33</f>
        <v>261.52334969902449</v>
      </c>
      <c r="H7" s="97"/>
      <c r="I7" s="97"/>
    </row>
    <row r="8" spans="1:11" ht="27" customHeight="1" x14ac:dyDescent="0.45">
      <c r="A8" s="91" t="s">
        <v>2</v>
      </c>
      <c r="B8" s="98" t="str">
        <f>Prime!B8</f>
        <v>A</v>
      </c>
      <c r="C8" s="94">
        <f>IF(B8="C",C7,B7)</f>
        <v>600</v>
      </c>
      <c r="D8" s="99" t="s">
        <v>21</v>
      </c>
      <c r="E8" s="100">
        <f>SUM(E6:E7)</f>
        <v>2338.5257209285719</v>
      </c>
    </row>
    <row r="9" spans="1:11" ht="18" customHeight="1" x14ac:dyDescent="0.35">
      <c r="A9" s="91" t="s">
        <v>3</v>
      </c>
      <c r="B9" s="101">
        <f>Prime!B9</f>
        <v>22</v>
      </c>
      <c r="C9" s="94"/>
      <c r="D9" s="102"/>
    </row>
    <row r="10" spans="1:11" ht="18" customHeight="1" x14ac:dyDescent="0.35">
      <c r="A10" s="91" t="s">
        <v>12</v>
      </c>
      <c r="B10" s="98">
        <f>Prime!B10</f>
        <v>0.8</v>
      </c>
      <c r="C10" s="94">
        <f>IF(B10=1,B10,IF(B10=0.9,0.9143,IF(B10=0.8,0.8571,B10)))</f>
        <v>0.85709999999999997</v>
      </c>
      <c r="D10" s="102"/>
    </row>
    <row r="11" spans="1:11" ht="27.6" customHeight="1" x14ac:dyDescent="0.35">
      <c r="A11" s="103" t="s">
        <v>22</v>
      </c>
      <c r="B11" s="104">
        <f>B6*C6*B9*C10</f>
        <v>2249.1296395634877</v>
      </c>
      <c r="C11" s="94">
        <f>B5*C6*B9*C10</f>
        <v>2619.1488074400004</v>
      </c>
      <c r="H11" s="81">
        <f>IF(B7&lt;418,C7,B7)</f>
        <v>600</v>
      </c>
    </row>
    <row r="12" spans="1:11" ht="18" x14ac:dyDescent="0.35">
      <c r="A12" s="39" t="s">
        <v>11</v>
      </c>
      <c r="B12" s="105">
        <f>Prime!B12</f>
        <v>15</v>
      </c>
      <c r="C12" s="94"/>
      <c r="H12" s="81">
        <f>IF(B8="C",C7,IF(B7&lt;418,C7,B7))</f>
        <v>600</v>
      </c>
    </row>
    <row r="13" spans="1:11" ht="18" x14ac:dyDescent="0.35">
      <c r="A13" s="39" t="s">
        <v>4</v>
      </c>
      <c r="B13" s="40">
        <f>IF(B12&gt;5,B11*(B12*5/7)/140,0)</f>
        <v>172.12726833394038</v>
      </c>
      <c r="C13" s="94">
        <f>IF(B12&gt;5,C11*B12/140,0)</f>
        <v>280.62308651142865</v>
      </c>
    </row>
    <row r="14" spans="1:11" ht="18" x14ac:dyDescent="0.3">
      <c r="A14" s="16" t="s">
        <v>5</v>
      </c>
      <c r="B14" s="17">
        <f>B11-B13</f>
        <v>2077.0023712295474</v>
      </c>
      <c r="C14" s="17">
        <f>C11-C13</f>
        <v>2338.5257209285719</v>
      </c>
    </row>
    <row r="15" spans="1:11" ht="18" x14ac:dyDescent="0.35">
      <c r="A15" s="16"/>
      <c r="B15" s="17"/>
      <c r="C15" s="94"/>
    </row>
    <row r="16" spans="1:11" ht="18" x14ac:dyDescent="0.35">
      <c r="A16" s="16"/>
      <c r="B16" s="17"/>
      <c r="C16" s="94"/>
    </row>
    <row r="17" spans="1:7" ht="18" x14ac:dyDescent="0.35">
      <c r="A17" s="16" t="s">
        <v>17</v>
      </c>
      <c r="B17" s="106">
        <f>IF(C3&lt;0,B14*(365+C3)/365,B14)</f>
        <v>2077.0023712295474</v>
      </c>
      <c r="C17" s="94">
        <f>(IF(C3&lt;0,B14*(365+C3)/365,B14))*0.9</f>
        <v>1869.3021341065928</v>
      </c>
    </row>
    <row r="18" spans="1:7" x14ac:dyDescent="0.3">
      <c r="B18" s="84"/>
    </row>
    <row r="19" spans="1:7" ht="18" x14ac:dyDescent="0.35">
      <c r="A19" s="16" t="s">
        <v>20</v>
      </c>
      <c r="B19" s="107">
        <f>IF(C3&lt;0,C14*(365+C3)/365,C14)-B17</f>
        <v>261.52334969902449</v>
      </c>
    </row>
    <row r="20" spans="1:7" ht="18" x14ac:dyDescent="0.35">
      <c r="A20" s="16"/>
      <c r="B20" s="17"/>
      <c r="C20" s="94"/>
    </row>
    <row r="21" spans="1:7" ht="18" x14ac:dyDescent="0.35">
      <c r="A21" s="108">
        <v>45292</v>
      </c>
      <c r="B21" s="63"/>
      <c r="C21" s="94"/>
    </row>
    <row r="22" spans="1:7" x14ac:dyDescent="0.3">
      <c r="A22" s="109">
        <v>45292</v>
      </c>
      <c r="B22" s="109">
        <v>45658</v>
      </c>
      <c r="C22" s="110"/>
      <c r="D22" s="97" t="s">
        <v>28</v>
      </c>
      <c r="E22" s="111">
        <v>365</v>
      </c>
    </row>
    <row r="23" spans="1:7" ht="18" x14ac:dyDescent="0.3">
      <c r="A23" s="86" t="s">
        <v>14</v>
      </c>
      <c r="B23" s="112">
        <v>440</v>
      </c>
      <c r="C23" s="53"/>
      <c r="D23" s="113"/>
    </row>
    <row r="24" spans="1:7" ht="18" x14ac:dyDescent="0.35">
      <c r="A24" s="114" t="s">
        <v>16</v>
      </c>
      <c r="B24" s="89" t="str">
        <f>IF(Prime!B24=0,"0",Prime!B24)</f>
        <v>0</v>
      </c>
      <c r="C24" s="54" t="str">
        <f>IF(B24&lt;A21,A21,B24)</f>
        <v>0</v>
      </c>
      <c r="D24" s="72" t="str">
        <f>IF(B24="","",C24)</f>
        <v>0</v>
      </c>
      <c r="E24" s="87">
        <f>(E25-B26) -365</f>
        <v>-365</v>
      </c>
    </row>
    <row r="25" spans="1:7" ht="18" x14ac:dyDescent="0.35">
      <c r="A25" s="114" t="s">
        <v>7</v>
      </c>
      <c r="B25" s="89" t="str">
        <f>IF(Prime!B25=0,"0",Prime!B25)</f>
        <v>0</v>
      </c>
      <c r="C25" s="54" t="str">
        <f>IF(B25&lt;A21,A21,B25)</f>
        <v>0</v>
      </c>
      <c r="D25" s="72" t="str">
        <f>IF(B25="","",C25)</f>
        <v>0</v>
      </c>
      <c r="E25" s="115" t="str">
        <f>IF(B26="",B22,B26)</f>
        <v>0</v>
      </c>
      <c r="F25" s="116"/>
      <c r="G25" s="116">
        <f>MIN(D24,D25)</f>
        <v>0</v>
      </c>
    </row>
    <row r="26" spans="1:7" ht="18" x14ac:dyDescent="0.3">
      <c r="A26" s="117" t="s">
        <v>8</v>
      </c>
      <c r="B26" s="89" t="str">
        <f>IF(Prime!B26=0,"0",Prime!B26)</f>
        <v>0</v>
      </c>
      <c r="C26" s="55"/>
      <c r="D26" s="73"/>
      <c r="E26" s="81">
        <f>E25-G25</f>
        <v>0</v>
      </c>
      <c r="F26" s="81">
        <f>B23*E26/E22</f>
        <v>0</v>
      </c>
    </row>
    <row r="27" spans="1:7" ht="18" x14ac:dyDescent="0.3">
      <c r="A27" s="117" t="s">
        <v>36</v>
      </c>
      <c r="B27" s="101" t="str">
        <f>Prime!B27</f>
        <v>nc</v>
      </c>
      <c r="C27" s="56">
        <f>IF(B27="NC",B28,C28)</f>
        <v>0</v>
      </c>
      <c r="D27" s="73"/>
    </row>
    <row r="28" spans="1:7" ht="18" x14ac:dyDescent="0.35">
      <c r="A28" s="91" t="s">
        <v>9</v>
      </c>
      <c r="B28" s="101">
        <f>Prime!B28</f>
        <v>0</v>
      </c>
      <c r="C28" s="118">
        <f>IF(B28=1,B28,IF(B28=0.9,0.9143,IF(B28=0.8,0.8571,B28)))</f>
        <v>0</v>
      </c>
      <c r="D28" s="74"/>
      <c r="E28" s="94"/>
      <c r="G28" s="114"/>
    </row>
    <row r="29" spans="1:7" ht="18" x14ac:dyDescent="0.3">
      <c r="A29" s="39" t="s">
        <v>11</v>
      </c>
      <c r="B29" s="101">
        <f>Prime!B29</f>
        <v>0</v>
      </c>
      <c r="C29" s="58"/>
      <c r="D29" s="119"/>
    </row>
    <row r="30" spans="1:7" ht="18" x14ac:dyDescent="0.3">
      <c r="A30" s="81">
        <f>IF(B24&lt;A22,C30-B30,0)</f>
        <v>0</v>
      </c>
      <c r="B30" s="40">
        <f>IF(B29&gt;5,C30*B29/140,0)</f>
        <v>0</v>
      </c>
      <c r="C30" s="81">
        <f>F26</f>
        <v>0</v>
      </c>
    </row>
    <row r="31" spans="1:7" ht="18" x14ac:dyDescent="0.3">
      <c r="A31" s="16" t="s">
        <v>19</v>
      </c>
      <c r="B31" s="106">
        <f>B32*0.9</f>
        <v>0</v>
      </c>
    </row>
    <row r="32" spans="1:7" x14ac:dyDescent="0.3">
      <c r="A32" s="81">
        <f>IF(B24+B25=0,0,A30)</f>
        <v>0</v>
      </c>
      <c r="B32" s="84">
        <f>A32*C27</f>
        <v>0</v>
      </c>
    </row>
    <row r="33" spans="1:2" ht="18" x14ac:dyDescent="0.35">
      <c r="A33" s="16" t="s">
        <v>18</v>
      </c>
      <c r="B33" s="120">
        <f>B32-B31</f>
        <v>0</v>
      </c>
    </row>
  </sheetData>
  <sheetProtection algorithmName="SHA-512" hashValue="a5QUeOLmZ/LE90ZP1Nc18AmdUhovTMA893vAl8TiRkvx+MxCnNlMjKU3CvxQ5L3KVt3W7qawsLYiJK3aBtPlhg==" saltValue="V+V24mFNqlzS4UlD/aKMIA==" spinCount="100000" sheet="1" objects="1" scenarios="1"/>
  <mergeCells count="3">
    <mergeCell ref="A1:E1"/>
    <mergeCell ref="A2:B2"/>
    <mergeCell ref="D4:E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Prime</vt:lpstr>
      <vt:lpstr>calcul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</dc:creator>
  <cp:lastModifiedBy>Loubier Emmanuel Avignon Dojo 44</cp:lastModifiedBy>
  <cp:lastPrinted>2025-02-24T09:08:35Z</cp:lastPrinted>
  <dcterms:created xsi:type="dcterms:W3CDTF">2023-12-17T20:14:31Z</dcterms:created>
  <dcterms:modified xsi:type="dcterms:W3CDTF">2026-02-02T10:26:33Z</dcterms:modified>
</cp:coreProperties>
</file>